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ureensampson/Documents/current/equation paper/"/>
    </mc:Choice>
  </mc:AlternateContent>
  <xr:revisionPtr revIDLastSave="0" documentId="8_{EC30F093-368B-2047-8425-A7A197C92816}" xr6:coauthVersionLast="45" xr6:coauthVersionMax="45" xr10:uidLastSave="{00000000-0000-0000-0000-000000000000}"/>
  <bookViews>
    <workbookView xWindow="0" yWindow="960" windowWidth="35020" windowHeight="21440" xr2:uid="{DC574C85-D0F9-5E43-9D09-15595775DC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L9" i="1" s="1"/>
  <c r="K9" i="1" s="1"/>
  <c r="Y8" i="1" l="1"/>
  <c r="X8" i="1"/>
  <c r="W8" i="1"/>
  <c r="Y7" i="1"/>
  <c r="X7" i="1"/>
  <c r="W7" i="1"/>
  <c r="Y6" i="1"/>
  <c r="X6" i="1"/>
  <c r="W6" i="1"/>
  <c r="Y5" i="1"/>
  <c r="X5" i="1"/>
  <c r="W5" i="1"/>
  <c r="Y4" i="1"/>
  <c r="X4" i="1"/>
  <c r="W4" i="1"/>
  <c r="Y3" i="1"/>
  <c r="X3" i="1"/>
  <c r="W3" i="1"/>
  <c r="D8" i="1"/>
  <c r="F8" i="1" s="1"/>
  <c r="E8" i="1"/>
  <c r="H8" i="1"/>
  <c r="I8" i="1"/>
  <c r="D7" i="1"/>
  <c r="F7" i="1" s="1"/>
  <c r="E7" i="1"/>
  <c r="H7" i="1"/>
  <c r="I7" i="1"/>
  <c r="D6" i="1"/>
  <c r="G6" i="1" s="1"/>
  <c r="E6" i="1"/>
  <c r="H6" i="1"/>
  <c r="I6" i="1"/>
  <c r="I3" i="1"/>
  <c r="J8" i="1" l="1"/>
  <c r="L8" i="1" s="1"/>
  <c r="K8" i="1" s="1"/>
  <c r="G8" i="1"/>
  <c r="J6" i="1"/>
  <c r="L6" i="1" s="1"/>
  <c r="K6" i="1" s="1"/>
  <c r="J7" i="1"/>
  <c r="L7" i="1" s="1"/>
  <c r="K7" i="1" s="1"/>
  <c r="F6" i="1"/>
  <c r="G7" i="1"/>
  <c r="D5" i="1" l="1"/>
  <c r="G5" i="1" s="1"/>
  <c r="E5" i="1"/>
  <c r="H5" i="1"/>
  <c r="I5" i="1"/>
  <c r="I4" i="1"/>
  <c r="H3" i="1"/>
  <c r="H4" i="1"/>
  <c r="J5" i="1" l="1"/>
  <c r="L5" i="1" s="1"/>
  <c r="K5" i="1" s="1"/>
  <c r="F5" i="1"/>
  <c r="E3" i="1" l="1"/>
  <c r="E4" i="1"/>
  <c r="D3" i="1"/>
  <c r="D4" i="1"/>
  <c r="Z8" i="1" l="1"/>
  <c r="Z4" i="1"/>
  <c r="Z7" i="1"/>
  <c r="Z3" i="1"/>
  <c r="Z5" i="1"/>
  <c r="Z6" i="1"/>
  <c r="J4" i="1"/>
  <c r="L4" i="1" s="1"/>
  <c r="K4" i="1" s="1"/>
  <c r="J3" i="1"/>
  <c r="L3" i="1" s="1"/>
  <c r="K3" i="1" s="1"/>
  <c r="G4" i="1"/>
  <c r="G3" i="1"/>
  <c r="F3" i="1"/>
  <c r="F4" i="1"/>
  <c r="AA8" i="1" l="1"/>
  <c r="AA3" i="1"/>
  <c r="AA4" i="1"/>
  <c r="AA5" i="1"/>
  <c r="AA6" i="1"/>
  <c r="AA7" i="1"/>
  <c r="AB3" i="1"/>
  <c r="AB4" i="1"/>
  <c r="AB5" i="1"/>
  <c r="AB6" i="1"/>
  <c r="AB7" i="1"/>
  <c r="AB8" i="1"/>
</calcChain>
</file>

<file path=xl/sharedStrings.xml><?xml version="1.0" encoding="utf-8"?>
<sst xmlns="http://schemas.openxmlformats.org/spreadsheetml/2006/main" count="72" uniqueCount="72">
  <si>
    <t>HDL-Cholesterol (mg/dL)</t>
  </si>
  <si>
    <t>Total Cholesterol (mg/dL)</t>
  </si>
  <si>
    <t>Triglyceride (mg/dL)</t>
  </si>
  <si>
    <t>flags</t>
  </si>
  <si>
    <t>min</t>
  </si>
  <si>
    <t>max</t>
  </si>
  <si>
    <t>mean</t>
  </si>
  <si>
    <t>median</t>
  </si>
  <si>
    <t>std dev</t>
  </si>
  <si>
    <t>n</t>
  </si>
  <si>
    <t>NonHDL-C (mg/dL)</t>
  </si>
  <si>
    <t xml:space="preserve">Valid for TC up to 1000 mg/dL and TG up to 3000 mg/dL. </t>
  </si>
  <si>
    <t>Results that calculate negative will be replaced with zero</t>
  </si>
  <si>
    <t>Results that calculate greater than nonHDL-C will be replaced with nonHDL-C</t>
  </si>
  <si>
    <t>Be aware that results with TG&gt;800 mg/dL will possibly have &gt;30 mg/dL error</t>
  </si>
  <si>
    <t>Non-HDL-C, mg/dL</t>
  </si>
  <si>
    <t>&lt;100</t>
  </si>
  <si>
    <t>100-129</t>
  </si>
  <si>
    <t>130-159</t>
  </si>
  <si>
    <t>160-189</t>
  </si>
  <si>
    <t>190-219</t>
  </si>
  <si>
    <t>&gt;=220</t>
  </si>
  <si>
    <t>TG, mg/dL</t>
  </si>
  <si>
    <r>
      <rPr>
        <sz val="12"/>
        <color rgb="FF231F20"/>
        <rFont val="Calibri"/>
        <family val="2"/>
      </rPr>
      <t>7-49</t>
    </r>
  </si>
  <si>
    <r>
      <rPr>
        <sz val="12"/>
        <color rgb="FF231F20"/>
        <rFont val="Calibri"/>
        <family val="2"/>
      </rPr>
      <t>50-56</t>
    </r>
  </si>
  <si>
    <r>
      <rPr>
        <sz val="12"/>
        <color rgb="FF231F20"/>
        <rFont val="Calibri"/>
        <family val="2"/>
      </rPr>
      <t>57-61</t>
    </r>
  </si>
  <si>
    <r>
      <rPr>
        <sz val="12"/>
        <color rgb="FF231F20"/>
        <rFont val="Calibri"/>
        <family val="2"/>
      </rPr>
      <t>62-66</t>
    </r>
  </si>
  <si>
    <r>
      <rPr>
        <sz val="12"/>
        <color rgb="FF231F20"/>
        <rFont val="Calibri"/>
        <family val="2"/>
      </rPr>
      <t>67-71</t>
    </r>
  </si>
  <si>
    <r>
      <rPr>
        <sz val="12"/>
        <color rgb="FF231F20"/>
        <rFont val="Calibri"/>
        <family val="2"/>
      </rPr>
      <t>72-75</t>
    </r>
  </si>
  <si>
    <r>
      <rPr>
        <sz val="12"/>
        <color rgb="FF231F20"/>
        <rFont val="Calibri"/>
        <family val="2"/>
      </rPr>
      <t>76-79</t>
    </r>
  </si>
  <si>
    <r>
      <rPr>
        <sz val="12"/>
        <color rgb="FF231F20"/>
        <rFont val="Calibri"/>
        <family val="2"/>
      </rPr>
      <t>80-83</t>
    </r>
  </si>
  <si>
    <r>
      <rPr>
        <sz val="12"/>
        <color rgb="FF231F20"/>
        <rFont val="Calibri"/>
        <family val="2"/>
      </rPr>
      <t>84-87</t>
    </r>
  </si>
  <si>
    <r>
      <rPr>
        <sz val="12"/>
        <color rgb="FF231F20"/>
        <rFont val="Calibri"/>
        <family val="2"/>
      </rPr>
      <t>88-92</t>
    </r>
  </si>
  <si>
    <r>
      <rPr>
        <sz val="12"/>
        <color rgb="FF231F20"/>
        <rFont val="Calibri"/>
        <family val="2"/>
      </rPr>
      <t>93-96</t>
    </r>
  </si>
  <si>
    <r>
      <rPr>
        <sz val="12"/>
        <color rgb="FF231F20"/>
        <rFont val="Calibri"/>
        <family val="2"/>
      </rPr>
      <t>97-100</t>
    </r>
  </si>
  <si>
    <r>
      <rPr>
        <sz val="12"/>
        <color rgb="FF231F20"/>
        <rFont val="Calibri"/>
        <family val="2"/>
      </rPr>
      <t>101-105</t>
    </r>
  </si>
  <si>
    <r>
      <rPr>
        <sz val="12"/>
        <color rgb="FF231F20"/>
        <rFont val="Calibri"/>
        <family val="2"/>
      </rPr>
      <t>106-110</t>
    </r>
  </si>
  <si>
    <r>
      <rPr>
        <sz val="12"/>
        <color rgb="FF231F20"/>
        <rFont val="Calibri"/>
        <family val="2"/>
      </rPr>
      <t>111-115</t>
    </r>
  </si>
  <si>
    <r>
      <rPr>
        <sz val="12"/>
        <color rgb="FF231F20"/>
        <rFont val="Calibri"/>
        <family val="2"/>
      </rPr>
      <t>116-120</t>
    </r>
  </si>
  <si>
    <r>
      <rPr>
        <sz val="12"/>
        <color rgb="FF231F20"/>
        <rFont val="Calibri"/>
        <family val="2"/>
      </rPr>
      <t>121-126</t>
    </r>
  </si>
  <si>
    <r>
      <rPr>
        <sz val="12"/>
        <color rgb="FF231F20"/>
        <rFont val="Calibri"/>
        <family val="2"/>
      </rPr>
      <t>127-132</t>
    </r>
  </si>
  <si>
    <r>
      <rPr>
        <sz val="12"/>
        <color rgb="FF231F20"/>
        <rFont val="Calibri"/>
        <family val="2"/>
      </rPr>
      <t>133-138</t>
    </r>
  </si>
  <si>
    <r>
      <rPr>
        <sz val="12"/>
        <color rgb="FF231F20"/>
        <rFont val="Calibri"/>
        <family val="2"/>
      </rPr>
      <t>139-146</t>
    </r>
  </si>
  <si>
    <r>
      <rPr>
        <sz val="12"/>
        <color rgb="FF231F20"/>
        <rFont val="Calibri"/>
        <family val="2"/>
      </rPr>
      <t>147-154</t>
    </r>
  </si>
  <si>
    <r>
      <rPr>
        <sz val="12"/>
        <color rgb="FF231F20"/>
        <rFont val="Calibri"/>
        <family val="2"/>
      </rPr>
      <t>155-163</t>
    </r>
  </si>
  <si>
    <r>
      <rPr>
        <sz val="12"/>
        <color rgb="FF231F20"/>
        <rFont val="Calibri"/>
        <family val="2"/>
      </rPr>
      <t>164-173</t>
    </r>
  </si>
  <si>
    <r>
      <rPr>
        <sz val="12"/>
        <color rgb="FF231F20"/>
        <rFont val="Calibri"/>
        <family val="2"/>
      </rPr>
      <t>174-185</t>
    </r>
  </si>
  <si>
    <r>
      <rPr>
        <sz val="12"/>
        <color rgb="FF231F20"/>
        <rFont val="Calibri"/>
        <family val="2"/>
      </rPr>
      <t>186-201</t>
    </r>
  </si>
  <si>
    <r>
      <rPr>
        <sz val="12"/>
        <color rgb="FF231F20"/>
        <rFont val="Calibri"/>
        <family val="2"/>
      </rPr>
      <t>202-220</t>
    </r>
  </si>
  <si>
    <r>
      <rPr>
        <sz val="12"/>
        <color rgb="FF231F20"/>
        <rFont val="Calibri"/>
        <family val="2"/>
      </rPr>
      <t>221-247</t>
    </r>
  </si>
  <si>
    <r>
      <rPr>
        <sz val="12"/>
        <color rgb="FF231F20"/>
        <rFont val="Calibri"/>
        <family val="2"/>
      </rPr>
      <t>248-292</t>
    </r>
  </si>
  <si>
    <r>
      <rPr>
        <sz val="12"/>
        <color rgb="FF231F20"/>
        <rFont val="Calibri"/>
        <family val="2"/>
      </rPr>
      <t>293-399</t>
    </r>
  </si>
  <si>
    <r>
      <rPr>
        <sz val="12"/>
        <color rgb="FF231F20"/>
        <rFont val="Calibri"/>
        <family val="2"/>
      </rPr>
      <t>400-13975</t>
    </r>
  </si>
  <si>
    <t>Martin Factor</t>
  </si>
  <si>
    <t>range start</t>
  </si>
  <si>
    <t>TC</t>
  </si>
  <si>
    <t>TG</t>
  </si>
  <si>
    <t>NonHDLC</t>
  </si>
  <si>
    <t>Enter HDL-C, TC and TG data 
in first empty row</t>
  </si>
  <si>
    <t>Summary statistics</t>
  </si>
  <si>
    <t>LDL-C</t>
  </si>
  <si>
    <t>HDL-C</t>
  </si>
  <si>
    <t>VLDL-C</t>
  </si>
  <si>
    <t>Sampson LDL-C (mg/dL)</t>
  </si>
  <si>
    <t>Sampson VLDL-C (mg/dL)</t>
  </si>
  <si>
    <t>Friedewald LDL-C (mg/dL)</t>
  </si>
  <si>
    <t>Friedewald VLDL-C (mg/dL)</t>
  </si>
  <si>
    <t>Martin VLDL-C (mg/dL)</t>
  </si>
  <si>
    <t>Martin LDL-C (mg/dL)</t>
  </si>
  <si>
    <r>
      <t xml:space="preserve">Friedewald WT, Levy RI, Fredrickson DS. 
Estimation of the concentration of low-density lipoprotein cholesterol in plasma, without use of the preparative ultracentrifuge. </t>
    </r>
    <r>
      <rPr>
        <i/>
        <sz val="9"/>
        <color theme="1"/>
        <rFont val="GuardianSans"/>
      </rPr>
      <t>Clin Chem</t>
    </r>
    <r>
      <rPr>
        <sz val="9"/>
        <color theme="1"/>
        <rFont val="GuardianSansGR"/>
      </rPr>
      <t xml:space="preserve">. 1972;18 (6):499-502. doi:10.1093/clinchem/18.6.499 </t>
    </r>
  </si>
  <si>
    <t>Sampson M, Ling C, Sun Q, etal. A new equation for calculation o flow-density lipoprotein cholesterol in patients with normolipidemia and/or hypertriglyceridemia [published online February 26, 2020]. JAMA Cardiol. doi:10.1001/jamacardio. 2020.0013</t>
  </si>
  <si>
    <r>
      <t xml:space="preserve">Martin SS, Blaha MJ, Elshazly MB, etal. Comparison of a novel method vs the Friedewald equation for estimating low-density lipoprotein cholesterol levels from the standard lipid profile. </t>
    </r>
    <r>
      <rPr>
        <i/>
        <sz val="9"/>
        <color theme="1"/>
        <rFont val="GuardianSans"/>
      </rPr>
      <t>JAMA</t>
    </r>
    <r>
      <rPr>
        <sz val="9"/>
        <color theme="1"/>
        <rFont val="GuardianSansGR"/>
      </rPr>
      <t xml:space="preserve">. 2013;310(19):2061-2068. doi:10.1001/jama. 2013.280532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</si>
</sst>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Calibri"/>
      <family val="2"/>
    </font>
    <font>
      <sz val="12"/>
      <color rgb="FF231F20"/>
      <name val="Calibri"/>
      <family val="2"/>
    </font>
    <font>
      <sz val="12"/>
      <color rgb="FF000000"/>
      <name val="Calibri"/>
      <family val="2"/>
      <scheme val="minor"/>
    </font>
    <font>
      <i/>
      <sz val="9"/>
      <color theme="1"/>
      <name val="GuardianSans"/>
    </font>
    <font>
      <sz val="9"/>
      <color theme="1"/>
      <name val="GuardianSansG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5"/>
      </patternFill>
    </fill>
    <fill>
      <patternFill patternType="solid">
        <fgColor rgb="FFCB6768"/>
      </patternFill>
    </fill>
    <fill>
      <patternFill patternType="solid">
        <fgColor rgb="FF6DB33F"/>
      </patternFill>
    </fill>
    <fill>
      <patternFill patternType="solid">
        <fgColor rgb="FFFFFDE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" fillId="6" borderId="7" xfId="0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1" xfId="0" applyBorder="1" applyAlignment="1" applyProtection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4" fontId="6" fillId="3" borderId="2" xfId="0" applyNumberFormat="1" applyFont="1" applyFill="1" applyBorder="1" applyAlignment="1" applyProtection="1">
      <alignment horizontal="center" vertical="top" shrinkToFit="1"/>
    </xf>
    <xf numFmtId="164" fontId="6" fillId="4" borderId="3" xfId="0" applyNumberFormat="1" applyFont="1" applyFill="1" applyBorder="1" applyAlignment="1" applyProtection="1">
      <alignment horizontal="right" vertical="top" indent="1" shrinkToFit="1"/>
    </xf>
    <xf numFmtId="164" fontId="6" fillId="4" borderId="3" xfId="0" applyNumberFormat="1" applyFont="1" applyFill="1" applyBorder="1" applyAlignment="1" applyProtection="1">
      <alignment horizontal="center" vertical="top" shrinkToFit="1"/>
    </xf>
    <xf numFmtId="164" fontId="6" fillId="3" borderId="3" xfId="0" applyNumberFormat="1" applyFont="1" applyFill="1" applyBorder="1" applyAlignment="1" applyProtection="1">
      <alignment horizontal="right" vertical="top" indent="1" shrinkToFit="1"/>
    </xf>
    <xf numFmtId="164" fontId="6" fillId="3" borderId="3" xfId="0" applyNumberFormat="1" applyFont="1" applyFill="1" applyBorder="1" applyAlignment="1" applyProtection="1">
      <alignment horizontal="center" vertical="top" shrinkToFit="1"/>
    </xf>
    <xf numFmtId="164" fontId="6" fillId="5" borderId="2" xfId="0" applyNumberFormat="1" applyFont="1" applyFill="1" applyBorder="1" applyAlignment="1" applyProtection="1">
      <alignment horizontal="center" vertical="top" shrinkToFit="1"/>
    </xf>
    <xf numFmtId="164" fontId="6" fillId="5" borderId="3" xfId="0" applyNumberFormat="1" applyFont="1" applyFill="1" applyBorder="1" applyAlignment="1" applyProtection="1">
      <alignment horizontal="right" vertical="top" indent="1" shrinkToFit="1"/>
    </xf>
    <xf numFmtId="164" fontId="6" fillId="5" borderId="3" xfId="0" applyNumberFormat="1" applyFont="1" applyFill="1" applyBorder="1" applyAlignment="1" applyProtection="1">
      <alignment horizontal="center" vertical="top" shrinkToFit="1"/>
    </xf>
    <xf numFmtId="164" fontId="6" fillId="4" borderId="2" xfId="0" applyNumberFormat="1" applyFont="1" applyFill="1" applyBorder="1" applyAlignment="1" applyProtection="1">
      <alignment horizontal="center" vertical="top" shrinkToFit="1"/>
    </xf>
    <xf numFmtId="0" fontId="1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0" borderId="0" xfId="0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0" fontId="1" fillId="0" borderId="0" xfId="0" applyNumberFormat="1" applyFont="1" applyProtection="1">
      <protection hidden="1"/>
    </xf>
    <xf numFmtId="0" fontId="1" fillId="0" borderId="0" xfId="0" applyFont="1" applyProtection="1"/>
    <xf numFmtId="0" fontId="2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Protection="1">
      <protection hidden="1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DE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17600024414813E-2"/>
        </right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D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DE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165100</xdr:colOff>
      <xdr:row>0</xdr:row>
      <xdr:rowOff>25400</xdr:rowOff>
    </xdr:from>
    <xdr:to>
      <xdr:col>16</xdr:col>
      <xdr:colOff>698500</xdr:colOff>
      <xdr:row>0</xdr:row>
      <xdr:rowOff>406400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423F45-0D5A-3849-A9B8-AB92A635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25400"/>
          <a:ext cx="2857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177800</xdr:colOff>
      <xdr:row>1</xdr:row>
      <xdr:rowOff>139700</xdr:rowOff>
    </xdr:from>
    <xdr:to>
      <xdr:col>19</xdr:col>
      <xdr:colOff>114300</xdr:colOff>
      <xdr:row>1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93F908-2099-3144-BD91-D0E3CB5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900" y="609600"/>
          <a:ext cx="4584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7ACFA3-85B5-C24C-B375-D01BB42111BD}" name="main" displayName="main" ref="A2:L9" totalsRowShown="0" headerRowDxfId="13" dataDxfId="12">
  <autoFilter ref="A2:L9" xr:uid="{AD7AD0CE-B419-6240-9B59-2FC4E61AE9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31F9E376-A3B4-7247-A8CA-D86B36149AB6}" name="HDL-Cholesterol (mg/dL)" dataDxfId="11"/>
    <tableColumn id="2" xr3:uid="{F9B88823-D55E-E040-B05D-B83888666171}" name="Total Cholesterol (mg/dL)" dataDxfId="10"/>
    <tableColumn id="3" xr3:uid="{A96B83AB-1335-5042-8F1E-B2B7E66E90C8}" name="Triglyceride (mg/dL)" dataDxfId="9"/>
    <tableColumn id="4" xr3:uid="{100B20E2-24F5-8E41-AD29-E3988EF32079}" name="NonHDL-C (mg/dL)" dataDxfId="8">
      <calculatedColumnFormula>IF(OR(main[[#This Row],[HDL-Cholesterol (mg/dL)]]="",main[[#This Row],[Total Cholesterol (mg/dL)]]=""),"",IF(B3-A3&lt;0,0,B3-A3))</calculatedColumnFormula>
    </tableColumn>
    <tableColumn id="5" xr3:uid="{B9E0D8C9-FD4B-8C49-A95F-9481674EDF53}" name="flags" dataDxfId="7">
      <calculatedColumnFormula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calculatedColumnFormula>
    </tableColumn>
    <tableColumn id="6" xr3:uid="{669A4982-D97E-3C4F-A29C-FB3E61ADBCA3}" name="Sampson LDL-C (mg/dL)" dataDxfId="6">
      <calculatedColumnFormula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calculatedColumnFormula>
    </tableColumn>
    <tableColumn id="11" xr3:uid="{AD5DCD0D-5143-7041-B58F-BE1211A8A021}" name="Sampson VLDL-C (mg/dL)" dataDxfId="5">
      <calculatedColumnFormula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calculatedColumnFormula>
    </tableColumn>
    <tableColumn id="12" xr3:uid="{A891AC17-60AD-E24E-AD53-D04D211A853B}" name="Friedewald LDL-C (mg/dL)" dataDxfId="4">
      <calculatedColumnFormula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calculatedColumnFormula>
    </tableColumn>
    <tableColumn id="13" xr3:uid="{7CF198FA-E09C-E640-8E82-2E98CB876373}" name="Friedewald VLDL-C (mg/dL)" dataDxfId="3">
      <calculatedColumnFormula>IF(OR(main[[#This Row],[HDL-Cholesterol (mg/dL)]]="",main[[#This Row],[Total Cholesterol (mg/dL)]]="",main[[#This Row],[Triglyceride (mg/dL)]]=""),"",(main[[#This Row],[Triglyceride (mg/dL)]]/5))</calculatedColumnFormula>
    </tableColumn>
    <tableColumn id="14" xr3:uid="{236F6655-2A16-2E40-B8F4-F4FA4ADD3E16}" name="Martin Factor" dataDxfId="2">
      <calculatedColumnFormula>IF(OR(main[[#This Row],[HDL-Cholesterol (mg/dL)]]="",main[[#This Row],[Total Cholesterol (mg/dL)]]="",main[[#This Row],[Triglyceride (mg/dL)]]=""),"",INDEX($AG$4:$AL$33,MATCH(C3,$AF$4:$AF$33),MATCH(D3,$AG$3:$AL$3)))</calculatedColumnFormula>
    </tableColumn>
    <tableColumn id="17" xr3:uid="{CBF58E39-847D-9A4E-8844-359F187B095B}" name="Martin LDL-C (mg/dL)" dataDxfId="1">
      <calculatedColumnFormula>IF(OR(main[[#This Row],[HDL-Cholesterol (mg/dL)]]="",main[[#This Row],[Total Cholesterol (mg/dL)]]="",main[[#This Row],[Triglyceride (mg/dL)]]=""),"",main[[#This Row],[NonHDL-C (mg/dL)]]-main[[#This Row],[Martin VLDL-C (mg/dL)]])</calculatedColumnFormula>
    </tableColumn>
    <tableColumn id="15" xr3:uid="{3DD047F7-626E-474B-9421-67ECEB62D351}" name="Martin VLDL-C (mg/dL)" dataDxfId="0">
      <calculatedColumnFormula>IF(OR(main[[#This Row],[HDL-Cholesterol (mg/dL)]]="",main[[#This Row],[Total Cholesterol (mg/dL)]]="",main[[#This Row],[Triglyceride (mg/dL)]]=""),"",main[[#This Row],[Triglyceride (mg/dL)]]/main[[#This Row],[Martin Factor]])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40C7-5521-444D-91DE-15FA3514BC59}">
  <sheetPr codeName="Sheet1"/>
  <dimension ref="A1:AL33"/>
  <sheetViews>
    <sheetView tabSelected="1" workbookViewId="0">
      <selection activeCell="A10" sqref="A10"/>
    </sheetView>
  </sheetViews>
  <sheetFormatPr baseColWidth="10" defaultColWidth="10.1640625" defaultRowHeight="16"/>
  <cols>
    <col min="1" max="1" width="11.83203125" style="16" customWidth="1"/>
    <col min="2" max="2" width="12.1640625" style="17" customWidth="1"/>
    <col min="3" max="3" width="12.6640625" style="18" customWidth="1"/>
    <col min="4" max="4" width="11.33203125" style="34" customWidth="1"/>
    <col min="5" max="5" width="30.5" style="34" customWidth="1"/>
    <col min="6" max="6" width="10.1640625" style="34"/>
    <col min="7" max="7" width="11.5" style="34" customWidth="1"/>
    <col min="8" max="8" width="11.6640625" style="34" customWidth="1"/>
    <col min="9" max="9" width="11.5" style="34" customWidth="1"/>
    <col min="10" max="12" width="10.1640625" style="34"/>
    <col min="13" max="17" width="10.1640625" style="4"/>
    <col min="18" max="18" width="10.1640625" style="5"/>
    <col min="19" max="27" width="10.1640625" style="4"/>
    <col min="28" max="28" width="10.1640625" style="5"/>
    <col min="29" max="29" width="40" style="4" customWidth="1"/>
    <col min="30" max="30" width="10.1640625" style="4"/>
    <col min="31" max="38" width="10.1640625" style="39"/>
    <col min="39" max="16384" width="10.1640625" style="4"/>
  </cols>
  <sheetData>
    <row r="1" spans="1:38" ht="37" customHeight="1">
      <c r="A1" s="46" t="s">
        <v>58</v>
      </c>
      <c r="B1" s="47"/>
      <c r="C1" s="48"/>
      <c r="D1" s="40"/>
      <c r="F1" s="33"/>
      <c r="V1" s="6" t="s">
        <v>59</v>
      </c>
      <c r="AC1" s="44" t="s">
        <v>70</v>
      </c>
      <c r="AE1" s="19"/>
      <c r="AF1" s="20"/>
      <c r="AG1" s="21" t="s">
        <v>15</v>
      </c>
      <c r="AH1" s="21"/>
      <c r="AI1" s="21"/>
      <c r="AJ1" s="21"/>
      <c r="AK1" s="21"/>
      <c r="AL1" s="21"/>
    </row>
    <row r="2" spans="1:38" ht="51">
      <c r="A2" s="7" t="s">
        <v>0</v>
      </c>
      <c r="B2" s="8" t="s">
        <v>1</v>
      </c>
      <c r="C2" s="9" t="s">
        <v>2</v>
      </c>
      <c r="D2" s="41" t="s">
        <v>10</v>
      </c>
      <c r="E2" s="35" t="s">
        <v>3</v>
      </c>
      <c r="F2" s="35" t="s">
        <v>63</v>
      </c>
      <c r="G2" s="35" t="s">
        <v>64</v>
      </c>
      <c r="H2" s="35" t="s">
        <v>65</v>
      </c>
      <c r="I2" s="35" t="s">
        <v>66</v>
      </c>
      <c r="J2" s="35" t="s">
        <v>53</v>
      </c>
      <c r="K2" s="35" t="s">
        <v>68</v>
      </c>
      <c r="L2" s="35" t="s">
        <v>67</v>
      </c>
      <c r="M2" s="10"/>
      <c r="W2" s="4" t="s">
        <v>61</v>
      </c>
      <c r="X2" s="4" t="s">
        <v>55</v>
      </c>
      <c r="Y2" s="4" t="s">
        <v>56</v>
      </c>
      <c r="Z2" s="4" t="s">
        <v>57</v>
      </c>
      <c r="AA2" s="4" t="s">
        <v>60</v>
      </c>
      <c r="AB2" s="4" t="s">
        <v>62</v>
      </c>
      <c r="AC2" s="44"/>
      <c r="AE2" s="19"/>
      <c r="AF2" s="20"/>
      <c r="AG2" s="20" t="s">
        <v>16</v>
      </c>
      <c r="AH2" s="20" t="s">
        <v>17</v>
      </c>
      <c r="AI2" s="20" t="s">
        <v>18</v>
      </c>
      <c r="AJ2" s="20" t="s">
        <v>19</v>
      </c>
      <c r="AK2" s="20" t="s">
        <v>20</v>
      </c>
      <c r="AL2" s="20" t="s">
        <v>21</v>
      </c>
    </row>
    <row r="3" spans="1:38">
      <c r="A3" s="11">
        <v>45</v>
      </c>
      <c r="B3" s="12">
        <v>196</v>
      </c>
      <c r="C3" s="3">
        <v>48</v>
      </c>
      <c r="D3" s="34">
        <f>IF(OR(main[[#This Row],[HDL-Cholesterol (mg/dL)]]="",main[[#This Row],[Total Cholesterol (mg/dL)]]=""),"",IF(B3-A3&lt;0,0,B3-A3))</f>
        <v>151</v>
      </c>
      <c r="E3" s="42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3" s="36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142.18800896000002</v>
      </c>
      <c r="G3" s="36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8.6731679999999987</v>
      </c>
      <c r="H3" s="34">
        <f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f>
        <v>141.4</v>
      </c>
      <c r="I3" s="34">
        <f>IF(OR(main[[#This Row],[HDL-Cholesterol (mg/dL)]]="",main[[#This Row],[Total Cholesterol (mg/dL)]]="",main[[#This Row],[Triglyceride (mg/dL)]]=""),"",(main[[#This Row],[Triglyceride (mg/dL)]]/5))</f>
        <v>9.6</v>
      </c>
      <c r="J3" s="37">
        <f>IF(OR(main[[#This Row],[HDL-Cholesterol (mg/dL)]]="",main[[#This Row],[Total Cholesterol (mg/dL)]]="",main[[#This Row],[Triglyceride (mg/dL)]]=""),"",INDEX($AG$4:$AL$33,MATCH(C3,$AF$4:$AF$33),MATCH(D3,$AG$3:$AL$3)))</f>
        <v>3.3</v>
      </c>
      <c r="K3" s="36">
        <f>IF(OR(main[[#This Row],[HDL-Cholesterol (mg/dL)]]="",main[[#This Row],[Total Cholesterol (mg/dL)]]="",main[[#This Row],[Triglyceride (mg/dL)]]=""),"",main[[#This Row],[NonHDL-C (mg/dL)]]-main[[#This Row],[Martin VLDL-C (mg/dL)]])</f>
        <v>136.45454545454544</v>
      </c>
      <c r="L3" s="36">
        <f>IF(OR(main[[#This Row],[HDL-Cholesterol (mg/dL)]]="",main[[#This Row],[Total Cholesterol (mg/dL)]]="",main[[#This Row],[Triglyceride (mg/dL)]]=""),"",main[[#This Row],[Triglyceride (mg/dL)]]/main[[#This Row],[Martin Factor]])</f>
        <v>14.545454545454547</v>
      </c>
      <c r="M3" s="13"/>
      <c r="V3" s="14" t="s">
        <v>4</v>
      </c>
      <c r="W3" s="4">
        <f>MIN(main[HDL-Cholesterol (mg/dL)])</f>
        <v>45</v>
      </c>
      <c r="X3" s="4">
        <f>MIN(main[Total Cholesterol (mg/dL)])</f>
        <v>142</v>
      </c>
      <c r="Y3" s="4">
        <f>MIN(main[Triglyceride (mg/dL)])</f>
        <v>32</v>
      </c>
      <c r="Z3" s="4">
        <f>MIN(main[NonHDL-C (mg/dL)])</f>
        <v>71</v>
      </c>
      <c r="AA3" s="4">
        <f>MIN(main[Sampson LDL-C (mg/dL)])</f>
        <v>59.682256959999997</v>
      </c>
      <c r="AB3" s="4">
        <f>MIN(main[Sampson VLDL-C (mg/dL)])</f>
        <v>5.0298879999999997</v>
      </c>
      <c r="AC3" s="15"/>
      <c r="AE3" s="19" t="s">
        <v>22</v>
      </c>
      <c r="AF3" s="20" t="s">
        <v>54</v>
      </c>
      <c r="AG3" s="20">
        <v>-100</v>
      </c>
      <c r="AH3" s="20">
        <v>100</v>
      </c>
      <c r="AI3" s="20">
        <v>130</v>
      </c>
      <c r="AJ3" s="20">
        <v>160</v>
      </c>
      <c r="AK3" s="20">
        <v>190</v>
      </c>
      <c r="AL3" s="20">
        <v>220</v>
      </c>
    </row>
    <row r="4" spans="1:38" ht="17">
      <c r="A4" s="11">
        <v>95</v>
      </c>
      <c r="B4" s="12">
        <v>210</v>
      </c>
      <c r="C4" s="3">
        <v>79</v>
      </c>
      <c r="D4" s="34">
        <f>IF(OR(main[[#This Row],[HDL-Cholesterol (mg/dL)]]="",main[[#This Row],[Total Cholesterol (mg/dL)]]=""),"",IF(B4-A4&lt;0,0,B4-A4))</f>
        <v>115</v>
      </c>
      <c r="E4" s="42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4" s="36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101.27338459000001</v>
      </c>
      <c r="G4" s="36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12.860844499999999</v>
      </c>
      <c r="H4" s="34">
        <f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f>
        <v>99.2</v>
      </c>
      <c r="I4" s="34">
        <f>IF(OR(main[[#This Row],[HDL-Cholesterol (mg/dL)]]="",main[[#This Row],[Total Cholesterol (mg/dL)]]="",main[[#This Row],[Triglyceride (mg/dL)]]=""),"",(main[[#This Row],[Triglyceride (mg/dL)]]/5))</f>
        <v>15.8</v>
      </c>
      <c r="J4" s="36">
        <f>IF(OR(main[[#This Row],[HDL-Cholesterol (mg/dL)]]="",main[[#This Row],[Total Cholesterol (mg/dL)]]="",main[[#This Row],[Triglyceride (mg/dL)]]=""),"",INDEX($AG$4:$AL$33,MATCH(C4,$AF$4:$AF$33),MATCH(D4,$AG$3:$AL$3)))</f>
        <v>4.5999999999999996</v>
      </c>
      <c r="K4" s="36">
        <f>IF(OR(main[[#This Row],[HDL-Cholesterol (mg/dL)]]="",main[[#This Row],[Total Cholesterol (mg/dL)]]="",main[[#This Row],[Triglyceride (mg/dL)]]=""),"",main[[#This Row],[NonHDL-C (mg/dL)]]-main[[#This Row],[Martin VLDL-C (mg/dL)]])</f>
        <v>97.826086956521735</v>
      </c>
      <c r="L4" s="36">
        <f>IF(OR(main[[#This Row],[HDL-Cholesterol (mg/dL)]]="",main[[#This Row],[Total Cholesterol (mg/dL)]]="",main[[#This Row],[Triglyceride (mg/dL)]]=""),"",main[[#This Row],[Triglyceride (mg/dL)]]/main[[#This Row],[Martin Factor]])</f>
        <v>17.173913043478262</v>
      </c>
      <c r="M4" s="13"/>
      <c r="N4" s="4" t="s">
        <v>11</v>
      </c>
      <c r="V4" s="14" t="s">
        <v>5</v>
      </c>
      <c r="W4" s="4">
        <f>MAX(main[HDL-Cholesterol (mg/dL)])</f>
        <v>95</v>
      </c>
      <c r="X4" s="4">
        <f>MAX(main[Total Cholesterol (mg/dL)])</f>
        <v>231</v>
      </c>
      <c r="Y4" s="4">
        <f>MAX(main[Triglyceride (mg/dL)])</f>
        <v>133</v>
      </c>
      <c r="Z4" s="4">
        <f>MAX(main[NonHDL-C (mg/dL)])</f>
        <v>151</v>
      </c>
      <c r="AA4" s="13">
        <f>MAX(main[Sampson LDL-C (mg/dL)])</f>
        <v>142.18800896000002</v>
      </c>
      <c r="AB4" s="13">
        <f>MAX(main[Sampson VLDL-C (mg/dL)])</f>
        <v>22.6377305</v>
      </c>
      <c r="AC4" s="15"/>
      <c r="AE4" s="22" t="s">
        <v>23</v>
      </c>
      <c r="AF4" s="23">
        <v>0</v>
      </c>
      <c r="AG4" s="24">
        <v>3.5</v>
      </c>
      <c r="AH4" s="25">
        <v>3.4</v>
      </c>
      <c r="AI4" s="26">
        <v>3.3</v>
      </c>
      <c r="AJ4" s="26">
        <v>3.3</v>
      </c>
      <c r="AK4" s="25">
        <v>3.2</v>
      </c>
      <c r="AL4" s="26">
        <v>3.1</v>
      </c>
    </row>
    <row r="5" spans="1:38" ht="17">
      <c r="A5" s="1">
        <v>53</v>
      </c>
      <c r="B5" s="2">
        <v>163</v>
      </c>
      <c r="C5" s="3">
        <v>37</v>
      </c>
      <c r="D5" s="38">
        <f>IF(OR(main[[#This Row],[HDL-Cholesterol (mg/dL)]]="",main[[#This Row],[Total Cholesterol (mg/dL)]]=""),"",IF(B5-A5&lt;0,0,B5-A5))</f>
        <v>110</v>
      </c>
      <c r="E5" s="43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5" s="36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101.85197431000002</v>
      </c>
      <c r="G5" s="36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6.0351254999999995</v>
      </c>
      <c r="H5" s="38">
        <f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f>
        <v>102.6</v>
      </c>
      <c r="I5" s="38">
        <f>IF(OR(main[[#This Row],[HDL-Cholesterol (mg/dL)]]="",main[[#This Row],[Total Cholesterol (mg/dL)]]="",main[[#This Row],[Triglyceride (mg/dL)]]=""),"",(main[[#This Row],[Triglyceride (mg/dL)]]/5))</f>
        <v>7.4</v>
      </c>
      <c r="J5" s="36">
        <f>IF(OR(main[[#This Row],[HDL-Cholesterol (mg/dL)]]="",main[[#This Row],[Total Cholesterol (mg/dL)]]="",main[[#This Row],[Triglyceride (mg/dL)]]=""),"",INDEX($AG$4:$AL$33,MATCH(C5,$AF$4:$AF$33),MATCH(D5,$AG$3:$AL$3)))</f>
        <v>3.4</v>
      </c>
      <c r="K5" s="36">
        <f>IF(OR(main[[#This Row],[HDL-Cholesterol (mg/dL)]]="",main[[#This Row],[Total Cholesterol (mg/dL)]]="",main[[#This Row],[Triglyceride (mg/dL)]]=""),"",main[[#This Row],[NonHDL-C (mg/dL)]]-main[[#This Row],[Martin VLDL-C (mg/dL)]])</f>
        <v>99.117647058823536</v>
      </c>
      <c r="L5" s="36">
        <f>IF(OR(main[[#This Row],[HDL-Cholesterol (mg/dL)]]="",main[[#This Row],[Total Cholesterol (mg/dL)]]="",main[[#This Row],[Triglyceride (mg/dL)]]=""),"",main[[#This Row],[Triglyceride (mg/dL)]]/main[[#This Row],[Martin Factor]])</f>
        <v>10.882352941176471</v>
      </c>
      <c r="M5" s="13"/>
      <c r="N5" s="4" t="s">
        <v>14</v>
      </c>
      <c r="V5" s="14" t="s">
        <v>6</v>
      </c>
      <c r="W5" s="13">
        <f>AVERAGE(main[HDL-Cholesterol (mg/dL)])</f>
        <v>73</v>
      </c>
      <c r="X5" s="13">
        <f>AVERAGE(main[Total Cholesterol (mg/dL)])</f>
        <v>184.57142857142858</v>
      </c>
      <c r="Y5" s="13">
        <f>AVERAGE(main[Triglyceride (mg/dL)])</f>
        <v>65</v>
      </c>
      <c r="Z5" s="13">
        <f>AVERAGE(main[NonHDL-C (mg/dL)])</f>
        <v>111.57142857142857</v>
      </c>
      <c r="AA5" s="13">
        <f>AVERAGE(main[Sampson LDL-C (mg/dL)])</f>
        <v>99.366686561428565</v>
      </c>
      <c r="AB5" s="13">
        <f>AVERAGE(main[Sampson VLDL-C (mg/dL)])</f>
        <v>10.615896642857141</v>
      </c>
      <c r="AE5" s="22" t="s">
        <v>24</v>
      </c>
      <c r="AF5" s="23">
        <v>50</v>
      </c>
      <c r="AG5" s="24">
        <v>4</v>
      </c>
      <c r="AH5" s="27">
        <v>3.9</v>
      </c>
      <c r="AI5" s="28">
        <v>3.7</v>
      </c>
      <c r="AJ5" s="28">
        <v>3.6</v>
      </c>
      <c r="AK5" s="27">
        <v>3.6</v>
      </c>
      <c r="AL5" s="26">
        <v>3.4</v>
      </c>
    </row>
    <row r="6" spans="1:38" ht="16" customHeight="1">
      <c r="A6" s="1">
        <v>72</v>
      </c>
      <c r="B6" s="2">
        <v>168</v>
      </c>
      <c r="C6" s="3">
        <v>32</v>
      </c>
      <c r="D6" s="38">
        <f>IF(OR(main[[#This Row],[HDL-Cholesterol (mg/dL)]]="",main[[#This Row],[Total Cholesterol (mg/dL)]]=""),"",IF(B6-A6&lt;0,0,B6-A6))</f>
        <v>96</v>
      </c>
      <c r="E6" s="43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6" s="36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88.604653759999991</v>
      </c>
      <c r="G6" s="36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5.0298879999999997</v>
      </c>
      <c r="H6" s="38">
        <f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f>
        <v>89.6</v>
      </c>
      <c r="I6" s="38">
        <f>IF(OR(main[[#This Row],[HDL-Cholesterol (mg/dL)]]="",main[[#This Row],[Total Cholesterol (mg/dL)]]="",main[[#This Row],[Triglyceride (mg/dL)]]=""),"",(main[[#This Row],[Triglyceride (mg/dL)]]/5))</f>
        <v>6.4</v>
      </c>
      <c r="J6" s="36">
        <f>IF(OR(main[[#This Row],[HDL-Cholesterol (mg/dL)]]="",main[[#This Row],[Total Cholesterol (mg/dL)]]="",main[[#This Row],[Triglyceride (mg/dL)]]=""),"",INDEX($AG$4:$AL$33,MATCH(C6,$AF$4:$AF$33),MATCH(D6,$AG$3:$AL$3)))</f>
        <v>3.5</v>
      </c>
      <c r="K6" s="36">
        <f>IF(OR(main[[#This Row],[HDL-Cholesterol (mg/dL)]]="",main[[#This Row],[Total Cholesterol (mg/dL)]]="",main[[#This Row],[Triglyceride (mg/dL)]]=""),"",main[[#This Row],[NonHDL-C (mg/dL)]]-main[[#This Row],[Martin VLDL-C (mg/dL)]])</f>
        <v>86.857142857142861</v>
      </c>
      <c r="L6" s="36">
        <f>IF(OR(main[[#This Row],[HDL-Cholesterol (mg/dL)]]="",main[[#This Row],[Total Cholesterol (mg/dL)]]="",main[[#This Row],[Triglyceride (mg/dL)]]=""),"",main[[#This Row],[Triglyceride (mg/dL)]]/main[[#This Row],[Martin Factor]])</f>
        <v>9.1428571428571423</v>
      </c>
      <c r="M6" s="13"/>
      <c r="V6" s="14" t="s">
        <v>7</v>
      </c>
      <c r="W6" s="4">
        <f>MEDIAN(main[HDL-Cholesterol (mg/dL)])</f>
        <v>72</v>
      </c>
      <c r="X6" s="4">
        <f>MEDIAN(main[Total Cholesterol (mg/dL)])</f>
        <v>182</v>
      </c>
      <c r="Y6" s="4">
        <f>MEDIAN(main[Triglyceride (mg/dL)])</f>
        <v>52</v>
      </c>
      <c r="Z6" s="4">
        <f>MEDIAN(main[NonHDL-C (mg/dL)])</f>
        <v>110</v>
      </c>
      <c r="AA6" s="13">
        <f>MEDIAN(main[Sampson LDL-C (mg/dL)])</f>
        <v>101.27338459000001</v>
      </c>
      <c r="AB6" s="13">
        <f>MEDIAN(main[Sampson VLDL-C (mg/dL)])</f>
        <v>8.6731679999999987</v>
      </c>
      <c r="AC6" s="44" t="s">
        <v>69</v>
      </c>
      <c r="AE6" s="22" t="s">
        <v>25</v>
      </c>
      <c r="AF6" s="23">
        <v>57</v>
      </c>
      <c r="AG6" s="24">
        <v>4.3</v>
      </c>
      <c r="AH6" s="27">
        <v>4.0999999999999996</v>
      </c>
      <c r="AI6" s="28">
        <v>4</v>
      </c>
      <c r="AJ6" s="28">
        <v>3.9</v>
      </c>
      <c r="AK6" s="27">
        <v>3.8</v>
      </c>
      <c r="AL6" s="28">
        <v>3.6</v>
      </c>
    </row>
    <row r="7" spans="1:38" ht="17">
      <c r="A7" s="1">
        <v>71</v>
      </c>
      <c r="B7" s="2">
        <v>142</v>
      </c>
      <c r="C7" s="3">
        <v>52</v>
      </c>
      <c r="D7" s="38">
        <f>IF(OR(main[[#This Row],[HDL-Cholesterol (mg/dL)]]="",main[[#This Row],[Total Cholesterol (mg/dL)]]=""),"",IF(B7-A7&lt;0,0,B7-A7))</f>
        <v>71</v>
      </c>
      <c r="E7" s="43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7" s="36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59.682256959999997</v>
      </c>
      <c r="G7" s="36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7.5321480000000003</v>
      </c>
      <c r="H7" s="38">
        <f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f>
        <v>60.6</v>
      </c>
      <c r="I7" s="38">
        <f>IF(OR(main[[#This Row],[HDL-Cholesterol (mg/dL)]]="",main[[#This Row],[Total Cholesterol (mg/dL)]]="",main[[#This Row],[Triglyceride (mg/dL)]]=""),"",(main[[#This Row],[Triglyceride (mg/dL)]]/5))</f>
        <v>10.4</v>
      </c>
      <c r="J7" s="36">
        <f>IF(OR(main[[#This Row],[HDL-Cholesterol (mg/dL)]]="",main[[#This Row],[Total Cholesterol (mg/dL)]]="",main[[#This Row],[Triglyceride (mg/dL)]]=""),"",INDEX($AG$4:$AL$33,MATCH(C7,$AF$4:$AF$33),MATCH(D7,$AG$3:$AL$3)))</f>
        <v>4</v>
      </c>
      <c r="K7" s="36">
        <f>IF(OR(main[[#This Row],[HDL-Cholesterol (mg/dL)]]="",main[[#This Row],[Total Cholesterol (mg/dL)]]="",main[[#This Row],[Triglyceride (mg/dL)]]=""),"",main[[#This Row],[NonHDL-C (mg/dL)]]-main[[#This Row],[Martin VLDL-C (mg/dL)]])</f>
        <v>58</v>
      </c>
      <c r="L7" s="36">
        <f>IF(OR(main[[#This Row],[HDL-Cholesterol (mg/dL)]]="",main[[#This Row],[Total Cholesterol (mg/dL)]]="",main[[#This Row],[Triglyceride (mg/dL)]]=""),"",main[[#This Row],[Triglyceride (mg/dL)]]/main[[#This Row],[Martin Factor]])</f>
        <v>13</v>
      </c>
      <c r="M7" s="13"/>
      <c r="N7" s="4" t="s">
        <v>12</v>
      </c>
      <c r="V7" s="14" t="s">
        <v>8</v>
      </c>
      <c r="W7" s="13">
        <f>STDEV(main[HDL-Cholesterol (mg/dL)])</f>
        <v>18.859126879754182</v>
      </c>
      <c r="X7" s="13">
        <f>STDEV(main[Total Cholesterol (mg/dL)])</f>
        <v>30.253689267355725</v>
      </c>
      <c r="Y7" s="13">
        <f>STDEV(main[Triglyceride (mg/dL)])</f>
        <v>34.717910843444095</v>
      </c>
      <c r="Z7" s="13">
        <f>STDEV(main[NonHDL-C (mg/dL)])</f>
        <v>26.980592672370665</v>
      </c>
      <c r="AA7" s="13">
        <f>STDEV(main[Sampson LDL-C (mg/dL)])</f>
        <v>25.892734498330753</v>
      </c>
      <c r="AB7" s="13">
        <f>STDEV(main[Sampson VLDL-C (mg/dL)])</f>
        <v>5.9985177870709299</v>
      </c>
      <c r="AC7" s="44"/>
      <c r="AE7" s="22" t="s">
        <v>26</v>
      </c>
      <c r="AF7" s="23">
        <v>62</v>
      </c>
      <c r="AG7" s="29">
        <v>4.5</v>
      </c>
      <c r="AH7" s="27">
        <v>4.3</v>
      </c>
      <c r="AI7" s="28">
        <v>4.0999999999999996</v>
      </c>
      <c r="AJ7" s="28">
        <v>4</v>
      </c>
      <c r="AK7" s="27">
        <v>3.9</v>
      </c>
      <c r="AL7" s="28">
        <v>3.9</v>
      </c>
    </row>
    <row r="8" spans="1:38" ht="17">
      <c r="A8" s="1">
        <v>92</v>
      </c>
      <c r="B8" s="2">
        <v>231</v>
      </c>
      <c r="C8" s="3">
        <v>133</v>
      </c>
      <c r="D8" s="38">
        <f>IF(OR(main[[#This Row],[HDL-Cholesterol (mg/dL)]]="",main[[#This Row],[Total Cholesterol (mg/dL)]]=""),"",IF(B8-A8&lt;0,0,B8-A8))</f>
        <v>139</v>
      </c>
      <c r="E8" s="43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8" s="36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116.52711210999998</v>
      </c>
      <c r="G8" s="36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22.6377305</v>
      </c>
      <c r="H8" s="38">
        <f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f>
        <v>112.4</v>
      </c>
      <c r="I8" s="38">
        <f>IF(OR(main[[#This Row],[HDL-Cholesterol (mg/dL)]]="",main[[#This Row],[Total Cholesterol (mg/dL)]]="",main[[#This Row],[Triglyceride (mg/dL)]]=""),"",(main[[#This Row],[Triglyceride (mg/dL)]]/5))</f>
        <v>26.6</v>
      </c>
      <c r="J8" s="36">
        <f>IF(OR(main[[#This Row],[HDL-Cholesterol (mg/dL)]]="",main[[#This Row],[Total Cholesterol (mg/dL)]]="",main[[#This Row],[Triglyceride (mg/dL)]]=""),"",INDEX($AG$4:$AL$33,MATCH(C8,$AF$4:$AF$33),MATCH(D8,$AG$3:$AL$3)))</f>
        <v>5.4</v>
      </c>
      <c r="K8" s="36">
        <f>IF(OR(main[[#This Row],[HDL-Cholesterol (mg/dL)]]="",main[[#This Row],[Total Cholesterol (mg/dL)]]="",main[[#This Row],[Triglyceride (mg/dL)]]=""),"",main[[#This Row],[NonHDL-C (mg/dL)]]-main[[#This Row],[Martin VLDL-C (mg/dL)]])</f>
        <v>114.37037037037037</v>
      </c>
      <c r="L8" s="36">
        <f>IF(OR(main[[#This Row],[HDL-Cholesterol (mg/dL)]]="",main[[#This Row],[Total Cholesterol (mg/dL)]]="",main[[#This Row],[Triglyceride (mg/dL)]]=""),"",main[[#This Row],[Triglyceride (mg/dL)]]/main[[#This Row],[Martin Factor]])</f>
        <v>24.62962962962963</v>
      </c>
      <c r="M8" s="13"/>
      <c r="N8" s="4" t="s">
        <v>13</v>
      </c>
      <c r="V8" s="14" t="s">
        <v>9</v>
      </c>
      <c r="W8" s="4">
        <f>COUNT(main[HDL-Cholesterol (mg/dL)])</f>
        <v>7</v>
      </c>
      <c r="X8" s="4">
        <f>COUNT(main[Total Cholesterol (mg/dL)])</f>
        <v>7</v>
      </c>
      <c r="Y8" s="4">
        <f>COUNT(main[Triglyceride (mg/dL)])</f>
        <v>7</v>
      </c>
      <c r="Z8" s="4">
        <f>COUNT(main[NonHDL-C (mg/dL)])</f>
        <v>7</v>
      </c>
      <c r="AA8" s="4">
        <f>COUNT(main[Sampson LDL-C (mg/dL)])</f>
        <v>7</v>
      </c>
      <c r="AB8" s="4">
        <f>COUNT(main[Sampson VLDL-C (mg/dL)])</f>
        <v>7</v>
      </c>
      <c r="AC8" s="44"/>
      <c r="AE8" s="22" t="s">
        <v>27</v>
      </c>
      <c r="AF8" s="23">
        <v>67</v>
      </c>
      <c r="AG8" s="29">
        <v>4.7</v>
      </c>
      <c r="AH8" s="27">
        <v>4.4000000000000004</v>
      </c>
      <c r="AI8" s="28">
        <v>4.3</v>
      </c>
      <c r="AJ8" s="28">
        <v>4.2</v>
      </c>
      <c r="AK8" s="27">
        <v>4.0999999999999996</v>
      </c>
      <c r="AL8" s="28">
        <v>3.9</v>
      </c>
    </row>
    <row r="9" spans="1:38" ht="17">
      <c r="A9" s="49">
        <v>83</v>
      </c>
      <c r="B9" s="50">
        <v>182</v>
      </c>
      <c r="C9" s="51">
        <v>74</v>
      </c>
      <c r="D9" s="52">
        <f>IF(OR(main[[#This Row],[HDL-Cholesterol (mg/dL)]]="",main[[#This Row],[Total Cholesterol (mg/dL)]]=""),"",IF(B9-A9&lt;0,0,B9-A9))</f>
        <v>99</v>
      </c>
      <c r="E9" s="53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9" s="54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(mg/dL)]],main[NonHDL-C (mg/dL)],(1.055*main[[#This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85.439415240000002</v>
      </c>
      <c r="G9" s="54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11.542372</v>
      </c>
      <c r="H9" s="52">
        <f>IF(OR(main[[#This Row],[HDL-Cholesterol (mg/dL)]]="",main[[#This Row],[Total Cholesterol (mg/dL)]]="",main[[#This Row],[Triglyceride (mg/dL)]]=""),"",main[[#This Row],[Total Cholesterol (mg/dL)]]-main[[#This Row],[HDL-Cholesterol (mg/dL)]]-(main[[#This Row],[Triglyceride (mg/dL)]]/5))</f>
        <v>84.2</v>
      </c>
      <c r="I9" s="52">
        <f>IF(OR(main[[#This Row],[HDL-Cholesterol (mg/dL)]]="",main[[#This Row],[Total Cholesterol (mg/dL)]]="",main[[#This Row],[Triglyceride (mg/dL)]]=""),"",(main[[#This Row],[Triglyceride (mg/dL)]]/5))</f>
        <v>14.8</v>
      </c>
      <c r="J9" s="54">
        <f>IF(OR(main[[#This Row],[HDL-Cholesterol (mg/dL)]]="",main[[#This Row],[Total Cholesterol (mg/dL)]]="",main[[#This Row],[Triglyceride (mg/dL)]]=""),"",INDEX($AG$4:$AL$33,MATCH(C9,$AF$4:$AF$33),MATCH(D9,$AG$3:$AL$3)))</f>
        <v>4.8</v>
      </c>
      <c r="K9" s="54">
        <f>IF(OR(main[[#This Row],[HDL-Cholesterol (mg/dL)]]="",main[[#This Row],[Total Cholesterol (mg/dL)]]="",main[[#This Row],[Triglyceride (mg/dL)]]=""),"",main[[#This Row],[NonHDL-C (mg/dL)]]-main[[#This Row],[Martin VLDL-C (mg/dL)]])</f>
        <v>83.583333333333329</v>
      </c>
      <c r="L9" s="54">
        <f>IF(OR(main[[#This Row],[HDL-Cholesterol (mg/dL)]]="",main[[#This Row],[Total Cholesterol (mg/dL)]]="",main[[#This Row],[Triglyceride (mg/dL)]]=""),"",main[[#This Row],[Triglyceride (mg/dL)]]/main[[#This Row],[Martin Factor]])</f>
        <v>15.416666666666668</v>
      </c>
      <c r="AC9" s="44"/>
      <c r="AE9" s="22" t="s">
        <v>28</v>
      </c>
      <c r="AF9" s="23">
        <v>72</v>
      </c>
      <c r="AG9" s="29">
        <v>4.8</v>
      </c>
      <c r="AH9" s="30">
        <v>4.5999999999999996</v>
      </c>
      <c r="AI9" s="28">
        <v>4.4000000000000004</v>
      </c>
      <c r="AJ9" s="28">
        <v>4.2</v>
      </c>
      <c r="AK9" s="27">
        <v>4.2</v>
      </c>
      <c r="AL9" s="28">
        <v>4.0999999999999996</v>
      </c>
    </row>
    <row r="10" spans="1:38" ht="17">
      <c r="AE10" s="22" t="s">
        <v>29</v>
      </c>
      <c r="AF10" s="23">
        <v>76</v>
      </c>
      <c r="AG10" s="29">
        <v>4.9000000000000004</v>
      </c>
      <c r="AH10" s="30">
        <v>4.5999999999999996</v>
      </c>
      <c r="AI10" s="31">
        <v>4.5</v>
      </c>
      <c r="AJ10" s="28">
        <v>4.3</v>
      </c>
      <c r="AK10" s="27">
        <v>4.3</v>
      </c>
      <c r="AL10" s="28">
        <v>4.2</v>
      </c>
    </row>
    <row r="11" spans="1:38" ht="17">
      <c r="AC11" s="45" t="s">
        <v>71</v>
      </c>
      <c r="AE11" s="22" t="s">
        <v>30</v>
      </c>
      <c r="AF11" s="23">
        <v>80</v>
      </c>
      <c r="AG11" s="29">
        <v>5</v>
      </c>
      <c r="AH11" s="30">
        <v>4.8</v>
      </c>
      <c r="AI11" s="31">
        <v>4.5999999999999996</v>
      </c>
      <c r="AJ11" s="28">
        <v>4.4000000000000004</v>
      </c>
      <c r="AK11" s="27">
        <v>4.3</v>
      </c>
      <c r="AL11" s="28">
        <v>4.2</v>
      </c>
    </row>
    <row r="12" spans="1:38" ht="17">
      <c r="AC12" s="45"/>
      <c r="AE12" s="22" t="s">
        <v>31</v>
      </c>
      <c r="AF12" s="23">
        <v>84</v>
      </c>
      <c r="AG12" s="29">
        <v>5.0999999999999996</v>
      </c>
      <c r="AH12" s="30">
        <v>4.8</v>
      </c>
      <c r="AI12" s="31">
        <v>4.5999999999999996</v>
      </c>
      <c r="AJ12" s="31">
        <v>4.5</v>
      </c>
      <c r="AK12" s="27">
        <v>4.4000000000000004</v>
      </c>
      <c r="AL12" s="28">
        <v>4.3</v>
      </c>
    </row>
    <row r="13" spans="1:38" ht="17">
      <c r="AC13" s="45"/>
      <c r="AE13" s="22" t="s">
        <v>32</v>
      </c>
      <c r="AF13" s="23">
        <v>88</v>
      </c>
      <c r="AG13" s="29">
        <v>5.2</v>
      </c>
      <c r="AH13" s="30">
        <v>4.9000000000000004</v>
      </c>
      <c r="AI13" s="31">
        <v>4.7</v>
      </c>
      <c r="AJ13" s="31">
        <v>4.5999999999999996</v>
      </c>
      <c r="AK13" s="27">
        <v>4.4000000000000004</v>
      </c>
      <c r="AL13" s="28">
        <v>4.3</v>
      </c>
    </row>
    <row r="14" spans="1:38" ht="17">
      <c r="AE14" s="22" t="s">
        <v>33</v>
      </c>
      <c r="AF14" s="23">
        <v>93</v>
      </c>
      <c r="AG14" s="29">
        <v>5.3</v>
      </c>
      <c r="AH14" s="30">
        <v>5</v>
      </c>
      <c r="AI14" s="31">
        <v>4.8</v>
      </c>
      <c r="AJ14" s="31">
        <v>4.7</v>
      </c>
      <c r="AK14" s="30">
        <v>4.5</v>
      </c>
      <c r="AL14" s="28">
        <v>4.4000000000000004</v>
      </c>
    </row>
    <row r="15" spans="1:38" ht="17">
      <c r="AE15" s="22" t="s">
        <v>34</v>
      </c>
      <c r="AF15" s="23">
        <v>97</v>
      </c>
      <c r="AG15" s="29">
        <v>5.4</v>
      </c>
      <c r="AH15" s="30">
        <v>5.0999999999999996</v>
      </c>
      <c r="AI15" s="31">
        <v>4.8</v>
      </c>
      <c r="AJ15" s="31">
        <v>4.7</v>
      </c>
      <c r="AK15" s="30">
        <v>4.5</v>
      </c>
      <c r="AL15" s="28">
        <v>4.3</v>
      </c>
    </row>
    <row r="16" spans="1:38" ht="17">
      <c r="AE16" s="22" t="s">
        <v>35</v>
      </c>
      <c r="AF16" s="23">
        <v>101</v>
      </c>
      <c r="AG16" s="29">
        <v>5.5</v>
      </c>
      <c r="AH16" s="30">
        <v>5.2</v>
      </c>
      <c r="AI16" s="31">
        <v>5</v>
      </c>
      <c r="AJ16" s="31">
        <v>4.7</v>
      </c>
      <c r="AK16" s="30">
        <v>4.5999999999999996</v>
      </c>
      <c r="AL16" s="31">
        <v>4.5</v>
      </c>
    </row>
    <row r="17" spans="31:38" ht="17">
      <c r="AE17" s="22" t="s">
        <v>36</v>
      </c>
      <c r="AF17" s="23">
        <v>106</v>
      </c>
      <c r="AG17" s="24">
        <v>5.6</v>
      </c>
      <c r="AH17" s="30">
        <v>5.3</v>
      </c>
      <c r="AI17" s="31">
        <v>5</v>
      </c>
      <c r="AJ17" s="31">
        <v>4.8</v>
      </c>
      <c r="AK17" s="30">
        <v>4.5999999999999996</v>
      </c>
      <c r="AL17" s="31">
        <v>4.5</v>
      </c>
    </row>
    <row r="18" spans="31:38" ht="17">
      <c r="AE18" s="22" t="s">
        <v>37</v>
      </c>
      <c r="AF18" s="23">
        <v>111</v>
      </c>
      <c r="AG18" s="24">
        <v>5.7</v>
      </c>
      <c r="AH18" s="30">
        <v>5.4</v>
      </c>
      <c r="AI18" s="31">
        <v>5.0999999999999996</v>
      </c>
      <c r="AJ18" s="31">
        <v>4.9000000000000004</v>
      </c>
      <c r="AK18" s="30">
        <v>4.7</v>
      </c>
      <c r="AL18" s="31">
        <v>4.5</v>
      </c>
    </row>
    <row r="19" spans="31:38" ht="17">
      <c r="AE19" s="22" t="s">
        <v>38</v>
      </c>
      <c r="AF19" s="23">
        <v>116</v>
      </c>
      <c r="AG19" s="24">
        <v>5.8</v>
      </c>
      <c r="AH19" s="30">
        <v>5.5</v>
      </c>
      <c r="AI19" s="31">
        <v>5.2</v>
      </c>
      <c r="AJ19" s="31">
        <v>5</v>
      </c>
      <c r="AK19" s="30">
        <v>4.8</v>
      </c>
      <c r="AL19" s="31">
        <v>4.5999999999999996</v>
      </c>
    </row>
    <row r="20" spans="31:38" ht="17">
      <c r="AE20" s="22" t="s">
        <v>39</v>
      </c>
      <c r="AF20" s="23">
        <v>121</v>
      </c>
      <c r="AG20" s="24">
        <v>6</v>
      </c>
      <c r="AH20" s="30">
        <v>5.5</v>
      </c>
      <c r="AI20" s="31">
        <v>5.3</v>
      </c>
      <c r="AJ20" s="31">
        <v>5</v>
      </c>
      <c r="AK20" s="30">
        <v>4.8</v>
      </c>
      <c r="AL20" s="31">
        <v>4.5999999999999996</v>
      </c>
    </row>
    <row r="21" spans="31:38" ht="17">
      <c r="AE21" s="22" t="s">
        <v>40</v>
      </c>
      <c r="AF21" s="23">
        <v>127</v>
      </c>
      <c r="AG21" s="24">
        <v>6.1</v>
      </c>
      <c r="AH21" s="27">
        <v>5.7</v>
      </c>
      <c r="AI21" s="31">
        <v>5.3</v>
      </c>
      <c r="AJ21" s="31">
        <v>5.0999999999999996</v>
      </c>
      <c r="AK21" s="30">
        <v>4.9000000000000004</v>
      </c>
      <c r="AL21" s="31">
        <v>4.7</v>
      </c>
    </row>
    <row r="22" spans="31:38" ht="17">
      <c r="AE22" s="22" t="s">
        <v>41</v>
      </c>
      <c r="AF22" s="23">
        <v>133</v>
      </c>
      <c r="AG22" s="24">
        <v>6.2</v>
      </c>
      <c r="AH22" s="27">
        <v>5.8</v>
      </c>
      <c r="AI22" s="31">
        <v>5.4</v>
      </c>
      <c r="AJ22" s="31">
        <v>5.2</v>
      </c>
      <c r="AK22" s="30">
        <v>5</v>
      </c>
      <c r="AL22" s="31">
        <v>4.7</v>
      </c>
    </row>
    <row r="23" spans="31:38" ht="17">
      <c r="AE23" s="22" t="s">
        <v>42</v>
      </c>
      <c r="AF23" s="23">
        <v>139</v>
      </c>
      <c r="AG23" s="24">
        <v>6.3</v>
      </c>
      <c r="AH23" s="27">
        <v>5.9</v>
      </c>
      <c r="AI23" s="28">
        <v>5.6</v>
      </c>
      <c r="AJ23" s="31">
        <v>5.3</v>
      </c>
      <c r="AK23" s="30">
        <v>5</v>
      </c>
      <c r="AL23" s="31">
        <v>4.8</v>
      </c>
    </row>
    <row r="24" spans="31:38" ht="17">
      <c r="AE24" s="22" t="s">
        <v>43</v>
      </c>
      <c r="AF24" s="23">
        <v>147</v>
      </c>
      <c r="AG24" s="24">
        <v>6.5</v>
      </c>
      <c r="AH24" s="27">
        <v>6</v>
      </c>
      <c r="AI24" s="28">
        <v>5.7</v>
      </c>
      <c r="AJ24" s="31">
        <v>5.4</v>
      </c>
      <c r="AK24" s="30">
        <v>5.0999999999999996</v>
      </c>
      <c r="AL24" s="31">
        <v>4.8</v>
      </c>
    </row>
    <row r="25" spans="31:38" ht="17">
      <c r="AE25" s="22" t="s">
        <v>44</v>
      </c>
      <c r="AF25" s="23">
        <v>155</v>
      </c>
      <c r="AG25" s="32">
        <v>6.7</v>
      </c>
      <c r="AH25" s="27">
        <v>6.2</v>
      </c>
      <c r="AI25" s="28">
        <v>5.8</v>
      </c>
      <c r="AJ25" s="31">
        <v>5.4</v>
      </c>
      <c r="AK25" s="30">
        <v>5.2</v>
      </c>
      <c r="AL25" s="31">
        <v>4.9000000000000004</v>
      </c>
    </row>
    <row r="26" spans="31:38" ht="17">
      <c r="AE26" s="22" t="s">
        <v>45</v>
      </c>
      <c r="AF26" s="23">
        <v>164</v>
      </c>
      <c r="AG26" s="32">
        <v>6.8</v>
      </c>
      <c r="AH26" s="27">
        <v>6.3</v>
      </c>
      <c r="AI26" s="28">
        <v>5.9</v>
      </c>
      <c r="AJ26" s="31">
        <v>5.5</v>
      </c>
      <c r="AK26" s="30">
        <v>5.3</v>
      </c>
      <c r="AL26" s="31">
        <v>5</v>
      </c>
    </row>
    <row r="27" spans="31:38" ht="17">
      <c r="AE27" s="22" t="s">
        <v>46</v>
      </c>
      <c r="AF27" s="23">
        <v>174</v>
      </c>
      <c r="AG27" s="32">
        <v>7</v>
      </c>
      <c r="AH27" s="27">
        <v>6.5</v>
      </c>
      <c r="AI27" s="28">
        <v>6</v>
      </c>
      <c r="AJ27" s="28">
        <v>5.7</v>
      </c>
      <c r="AK27" s="30">
        <v>5.4</v>
      </c>
      <c r="AL27" s="31">
        <v>5.0999999999999996</v>
      </c>
    </row>
    <row r="28" spans="31:38" ht="17">
      <c r="AE28" s="22" t="s">
        <v>47</v>
      </c>
      <c r="AF28" s="23">
        <v>186</v>
      </c>
      <c r="AG28" s="32">
        <v>7.3</v>
      </c>
      <c r="AH28" s="25">
        <v>6.7</v>
      </c>
      <c r="AI28" s="28">
        <v>6.2</v>
      </c>
      <c r="AJ28" s="28">
        <v>5.8</v>
      </c>
      <c r="AK28" s="30">
        <v>5.5</v>
      </c>
      <c r="AL28" s="31">
        <v>5.2</v>
      </c>
    </row>
    <row r="29" spans="31:38" ht="17">
      <c r="AE29" s="22" t="s">
        <v>48</v>
      </c>
      <c r="AF29" s="23">
        <v>202</v>
      </c>
      <c r="AG29" s="32">
        <v>7.6</v>
      </c>
      <c r="AH29" s="25">
        <v>6.9</v>
      </c>
      <c r="AI29" s="28">
        <v>6.4</v>
      </c>
      <c r="AJ29" s="28">
        <v>6</v>
      </c>
      <c r="AK29" s="27">
        <v>5.6</v>
      </c>
      <c r="AL29" s="31">
        <v>5.3</v>
      </c>
    </row>
    <row r="30" spans="31:38" ht="17">
      <c r="AE30" s="22" t="s">
        <v>49</v>
      </c>
      <c r="AF30" s="23">
        <v>221</v>
      </c>
      <c r="AG30" s="32">
        <v>8</v>
      </c>
      <c r="AH30" s="25">
        <v>7.2</v>
      </c>
      <c r="AI30" s="26">
        <v>6.6</v>
      </c>
      <c r="AJ30" s="28">
        <v>6.2</v>
      </c>
      <c r="AK30" s="27">
        <v>5.9</v>
      </c>
      <c r="AL30" s="31">
        <v>5.4</v>
      </c>
    </row>
    <row r="31" spans="31:38" ht="17">
      <c r="AE31" s="22" t="s">
        <v>50</v>
      </c>
      <c r="AF31" s="23">
        <v>248</v>
      </c>
      <c r="AG31" s="32">
        <v>8.5</v>
      </c>
      <c r="AH31" s="25">
        <v>7.6</v>
      </c>
      <c r="AI31" s="26">
        <v>7</v>
      </c>
      <c r="AJ31" s="28">
        <v>6.5</v>
      </c>
      <c r="AK31" s="27">
        <v>6.1</v>
      </c>
      <c r="AL31" s="28">
        <v>5.6</v>
      </c>
    </row>
    <row r="32" spans="31:38" ht="17">
      <c r="AE32" s="22" t="s">
        <v>51</v>
      </c>
      <c r="AF32" s="23">
        <v>293</v>
      </c>
      <c r="AG32" s="32">
        <v>9.5</v>
      </c>
      <c r="AH32" s="25">
        <v>8.3000000000000007</v>
      </c>
      <c r="AI32" s="26">
        <v>7.5</v>
      </c>
      <c r="AJ32" s="26">
        <v>7</v>
      </c>
      <c r="AK32" s="27">
        <v>6.5</v>
      </c>
      <c r="AL32" s="28">
        <v>5.9</v>
      </c>
    </row>
    <row r="33" spans="31:38" ht="17">
      <c r="AE33" s="22" t="s">
        <v>52</v>
      </c>
      <c r="AF33" s="23">
        <v>400</v>
      </c>
      <c r="AG33" s="32">
        <v>11.9</v>
      </c>
      <c r="AH33" s="25">
        <v>10</v>
      </c>
      <c r="AI33" s="26">
        <v>8.8000000000000007</v>
      </c>
      <c r="AJ33" s="26">
        <v>8.1</v>
      </c>
      <c r="AK33" s="25">
        <v>7.5</v>
      </c>
      <c r="AL33" s="26">
        <v>6.7</v>
      </c>
    </row>
  </sheetData>
  <sheetProtection insertRows="0" sort="0" autoFilter="0" pivotTables="0"/>
  <mergeCells count="4">
    <mergeCell ref="AC6:AC9"/>
    <mergeCell ref="AC11:AC13"/>
    <mergeCell ref="A1:C1"/>
    <mergeCell ref="AC1:AC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Sampson, Maureen (NIH/CC/DLM) [E]</dc:creator>
  <cp:lastModifiedBy>Maureen Sampson</cp:lastModifiedBy>
  <dcterms:created xsi:type="dcterms:W3CDTF">2020-01-16T14:15:48Z</dcterms:created>
  <dcterms:modified xsi:type="dcterms:W3CDTF">2020-05-15T14:46:14Z</dcterms:modified>
</cp:coreProperties>
</file>